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20490" windowHeight="6990" activeTab="0"/>
  </bookViews>
  <sheets>
    <sheet name="Формулы 18(1), 20 и 20(1)" sheetId="1" r:id="rId1"/>
  </sheets>
  <definedNames/>
  <calcPr fullCalcOnLoad="1"/>
</workbook>
</file>

<file path=xl/sharedStrings.xml><?xml version="1.0" encoding="utf-8"?>
<sst xmlns="http://schemas.openxmlformats.org/spreadsheetml/2006/main" count="114" uniqueCount="111">
  <si>
    <t>ОТЧЕТ</t>
  </si>
  <si>
    <t>Корпус 1, 2, 4, 5, 6</t>
  </si>
  <si>
    <t>ЭЭ, кВт/ч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</si>
  <si>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</si>
  <si>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</si>
  <si>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</si>
  <si>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</si>
  <si>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</si>
  <si>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</si>
  <si>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Расход тепловой энергии, Гкал (Vкр)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</si>
  <si>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</si>
  <si>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</si>
  <si>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</si>
  <si>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</si>
  <si>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</si>
  <si>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</si>
  <si>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</si>
  <si>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</si>
  <si>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</si>
  <si>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</si>
  <si>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</si>
  <si>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</si>
  <si>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</si>
  <si>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</si>
  <si>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Главный инженер</t>
  </si>
  <si>
    <t>Шевченко Д.Ю.</t>
  </si>
  <si>
    <t>Стоимость норматива горячего водоснабжения на 1 человека (3,23 куб.м.) с учетом удельного расхода тепловой энергии, рубли (5=3,23*У*N*1)</t>
  </si>
  <si>
    <t>Теплосчетчик общедомовой</t>
  </si>
  <si>
    <t>расход ТЭ, Гкал (Vi)</t>
  </si>
  <si>
    <t xml:space="preserve">95 корп. 1 </t>
  </si>
  <si>
    <t xml:space="preserve">№19011308 </t>
  </si>
  <si>
    <t xml:space="preserve">№19010894 </t>
  </si>
  <si>
    <t>166 корп. 1</t>
  </si>
  <si>
    <t>158 корп. 1</t>
  </si>
  <si>
    <t xml:space="preserve">№ ИПУ ТЭ </t>
  </si>
  <si>
    <t>Si квартиры кв.м.</t>
  </si>
  <si>
    <r>
      <t xml:space="preserve">Объем потребленной за расчетный период тепловой энергии, приходящийся на не оборудованное ИПУ помещение на </t>
    </r>
    <r>
      <rPr>
        <b/>
        <u val="single"/>
        <sz val="11"/>
        <color indexed="8"/>
        <rFont val="Times New Roman"/>
        <family val="1"/>
      </rPr>
      <t>один кв.м.</t>
    </r>
    <r>
      <rPr>
        <sz val="11"/>
        <color indexed="8"/>
        <rFont val="Times New Roman"/>
        <family val="1"/>
      </rPr>
      <t xml:space="preserve"> - Формула 3(7) сумма ИПУ/сумма Si, Гкал/кв.м.</t>
    </r>
  </si>
  <si>
    <t>Сумма ИПУ</t>
  </si>
  <si>
    <t>Сумма Si</t>
  </si>
  <si>
    <t>Объем потребленной за расчетный период тепловой энергии, приходящийся на не оборудованные ИПУ помещения - Формула 3(7) сумма ИПУ/сумма Si х (S-CуммаSi), Гкал/кв.м. (СуммаVi)</t>
  </si>
  <si>
    <t>Удельный расход тепловой энергии на подогрев воды - формула 20.1 Правил №354, Гкал (У=Vкр/(Qот+Qгвс+СуммаVi+СуммаИПУ))</t>
  </si>
  <si>
    <t>Расчет платы за отопление в здании по адресу г.Химки, ул.Лавочкина, д.13 по формуле 18(1) Правил 354</t>
  </si>
  <si>
    <t>Размер платы без СуммыИПУ и СуммыVi, рубли/кв.м. Р=(ТЭ*1+ЭЭ*2)/S</t>
  </si>
  <si>
    <t>105 корп. 2</t>
  </si>
  <si>
    <t>№1911322</t>
  </si>
  <si>
    <t>№19008484</t>
  </si>
  <si>
    <t>Расход тепловой энергии на производство коммунальной услуги отопление без корп.3 и индивидуального потребления, Гкал (Qот=Vкр-Qгвс-СуммаVi-CуммаИПУ)</t>
  </si>
  <si>
    <t>ИТОГО:</t>
  </si>
  <si>
    <t>114 корп. 1</t>
  </si>
  <si>
    <t>№19008760</t>
  </si>
  <si>
    <t>№19008556</t>
  </si>
  <si>
    <t>185 корп. 2</t>
  </si>
  <si>
    <t>56 корп. 2</t>
  </si>
  <si>
    <t>№19010303</t>
  </si>
  <si>
    <t>№ квартиры  корпус</t>
  </si>
  <si>
    <t>Средний индивидуальный расход ТЭ</t>
  </si>
  <si>
    <t>110 корп. 1</t>
  </si>
  <si>
    <t>№19010975</t>
  </si>
  <si>
    <t>Размер платы, руб/кв.м.</t>
  </si>
  <si>
    <t>183 корп. 2</t>
  </si>
  <si>
    <t>№19011437</t>
  </si>
  <si>
    <t>зданием по адресу г.Химки, ул.Лавочкина, д.13</t>
  </si>
  <si>
    <t>66 корп. 1</t>
  </si>
  <si>
    <t>№19008505</t>
  </si>
  <si>
    <t>151 корп. 1</t>
  </si>
  <si>
    <t>№20202809</t>
  </si>
  <si>
    <t>8 корп. 2</t>
  </si>
  <si>
    <t>№1902014</t>
  </si>
  <si>
    <t>№19005986</t>
  </si>
  <si>
    <t>№19005662</t>
  </si>
  <si>
    <t>24 корп. 2</t>
  </si>
  <si>
    <t>№19008467</t>
  </si>
  <si>
    <t>173 корп. 2</t>
  </si>
  <si>
    <t>№1908528</t>
  </si>
  <si>
    <t>41 корп. 2</t>
  </si>
  <si>
    <t>№21010205</t>
  </si>
  <si>
    <t>55 корп. 2</t>
  </si>
  <si>
    <t>№21004204</t>
  </si>
  <si>
    <t>№21010774</t>
  </si>
  <si>
    <t>54 корп. 2</t>
  </si>
  <si>
    <t>№21004336</t>
  </si>
  <si>
    <t>189 корп. 2</t>
  </si>
  <si>
    <t>№21004341</t>
  </si>
  <si>
    <t>190 корп. 2</t>
  </si>
  <si>
    <t>188 корп. 2</t>
  </si>
  <si>
    <t>№20202800</t>
  </si>
  <si>
    <t>№20202915</t>
  </si>
  <si>
    <t>82 корп. 2</t>
  </si>
  <si>
    <t>№20202882</t>
  </si>
  <si>
    <t>21 корп. 2</t>
  </si>
  <si>
    <t>№21010254</t>
  </si>
  <si>
    <t>69 корп. 2</t>
  </si>
  <si>
    <t>№21010920</t>
  </si>
  <si>
    <t>146 корп. 2</t>
  </si>
  <si>
    <t>71 корп. 2</t>
  </si>
  <si>
    <t>№21013931</t>
  </si>
  <si>
    <t>47 корп. 1</t>
  </si>
  <si>
    <t>№21003933</t>
  </si>
  <si>
    <t>55 корп. 1</t>
  </si>
  <si>
    <t>№20202622</t>
  </si>
  <si>
    <t>22 корп. 2</t>
  </si>
  <si>
    <t>№21010885</t>
  </si>
  <si>
    <t>24 корп. 1</t>
  </si>
  <si>
    <t>№20001837</t>
  </si>
  <si>
    <t>151, 178 корп. 2</t>
  </si>
  <si>
    <t xml:space="preserve">расчет платы за отопление за апрель 2022 года </t>
  </si>
  <si>
    <t>32 корп. 2</t>
  </si>
  <si>
    <t>№20202829</t>
  </si>
  <si>
    <t>90 корп. 2</t>
  </si>
  <si>
    <t>№20202666</t>
  </si>
  <si>
    <t xml:space="preserve">ошибки прибора              3,98 Гкал           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</si>
</sst>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  <numFmt numFmtId="195" formatCode="_-* #,##0.0\ _₽_-;\-* #,##0.0\ _₽_-;_-* &quot;-&quot;??\ _₽_-;_-@_-"/>
    <numFmt numFmtId="196" formatCode="_-* #,##0.000\ _₽_-;\-* #,##0.000\ _₽_-;_-* &quot;-&quot;??\ _₽_-;_-@_-"/>
    <numFmt numFmtId="197" formatCode="_-* #,##0.0000\ _₽_-;\-* #,##0.0000\ _₽_-;_-* &quot;-&quot;??\ _₽_-;_-@_-"/>
    <numFmt numFmtId="198" formatCode="_-* #,##0.00000\ _₽_-;\-* #,##0.00000\ _₽_-;_-* &quot;-&quot;??\ _₽_-;_-@_-"/>
    <numFmt numFmtId="199" formatCode="_-* #,##0.000\ _₽_-;\-* #,##0.000\ _₽_-;_-* &quot;-&quot;???\ _₽_-;_-@_-"/>
    <numFmt numFmtId="200" formatCode="_-* #,##0.00\ _₽_-;\-* #,##0.00\ _₽_-;_-* &quot;-&quot;???\ _₽_-;_-@_-"/>
    <numFmt numFmtId="201" formatCode="_-* #,##0.0\ _₽_-;\-* #,##0.0\ _₽_-;_-* &quot;-&quot;???\ _₽_-;_-@_-"/>
    <numFmt numFmtId="202" formatCode="_-* #,##0.0\ _₽_-;\-* #,##0.0\ _₽_-;_-* &quot;-&quot;?\ _₽_-;_-@_-"/>
    <numFmt numFmtId="203" formatCode="_(* #,##0.000_);_(* \(#,##0.000\);_(* &quot;-&quot;??_);_(@_)"/>
    <numFmt numFmtId="204" formatCode="_(* #,##0.0_);_(* \(#,##0.0\);_(* &quot;-&quot;??_);_(@_)"/>
    <numFmt numFmtId="205" formatCode="_-* #,##0.00000\ _₽_-;\-* #,##0.00000\ _₽_-;_-* &quot;-&quot;?????\ _₽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 horizontal="left"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96" fontId="4" fillId="0" borderId="0" xfId="0" applyNumberFormat="1" applyFont="1" applyAlignment="1">
      <alignment vertical="center"/>
    </xf>
    <xf numFmtId="173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19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174" fontId="3" fillId="0" borderId="10" xfId="6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/>
    </xf>
    <xf numFmtId="199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53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181" fontId="7" fillId="0" borderId="15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54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43" fontId="53" fillId="0" borderId="0" xfId="0" applyNumberFormat="1" applyFont="1" applyAlignment="1">
      <alignment horizontal="center" vertical="center"/>
    </xf>
    <xf numFmtId="199" fontId="8" fillId="0" borderId="0" xfId="0" applyNumberFormat="1" applyFont="1" applyAlignment="1">
      <alignment/>
    </xf>
    <xf numFmtId="204" fontId="9" fillId="0" borderId="10" xfId="61" applyNumberFormat="1" applyFont="1" applyBorder="1" applyAlignment="1">
      <alignment horizontal="center"/>
    </xf>
    <xf numFmtId="204" fontId="8" fillId="0" borderId="10" xfId="61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02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179" fontId="10" fillId="0" borderId="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0" xfId="0" applyNumberFormat="1" applyFont="1" applyAlignment="1">
      <alignment/>
    </xf>
    <xf numFmtId="204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center"/>
    </xf>
    <xf numFmtId="181" fontId="8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3" fontId="13" fillId="33" borderId="10" xfId="0" applyNumberFormat="1" applyFont="1" applyFill="1" applyBorder="1" applyAlignment="1">
      <alignment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181" fontId="9" fillId="0" borderId="10" xfId="0" applyNumberFormat="1" applyFont="1" applyBorder="1" applyAlignment="1">
      <alignment horizontal="center"/>
    </xf>
    <xf numFmtId="43" fontId="13" fillId="33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174" fontId="9" fillId="0" borderId="10" xfId="61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2" fontId="10" fillId="0" borderId="13" xfId="61" applyNumberFormat="1" applyFont="1" applyBorder="1" applyAlignment="1">
      <alignment horizontal="right"/>
    </xf>
    <xf numFmtId="2" fontId="10" fillId="0" borderId="16" xfId="61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204" fontId="9" fillId="0" borderId="23" xfId="61" applyNumberFormat="1" applyFont="1" applyBorder="1" applyAlignment="1">
      <alignment horizontal="center" vertical="center"/>
    </xf>
    <xf numFmtId="204" fontId="9" fillId="0" borderId="24" xfId="61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right"/>
    </xf>
    <xf numFmtId="0" fontId="55" fillId="0" borderId="0" xfId="0" applyFont="1" applyBorder="1" applyAlignment="1">
      <alignment horizontal="left" wrapText="1"/>
    </xf>
    <xf numFmtId="0" fontId="9" fillId="34" borderId="13" xfId="0" applyFont="1" applyFill="1" applyBorder="1" applyAlignment="1">
      <alignment horizontal="center"/>
    </xf>
    <xf numFmtId="204" fontId="9" fillId="33" borderId="10" xfId="61" applyNumberFormat="1" applyFont="1" applyFill="1" applyBorder="1" applyAlignment="1">
      <alignment horizontal="center"/>
    </xf>
    <xf numFmtId="174" fontId="9" fillId="33" borderId="10" xfId="61" applyNumberFormat="1" applyFont="1" applyFill="1" applyBorder="1" applyAlignment="1">
      <alignment horizontal="center"/>
    </xf>
    <xf numFmtId="43" fontId="13" fillId="4" borderId="10" xfId="0" applyNumberFormat="1" applyFont="1" applyFill="1" applyBorder="1" applyAlignment="1">
      <alignment horizontal="right"/>
    </xf>
    <xf numFmtId="43" fontId="13" fillId="4" borderId="10" xfId="0" applyNumberFormat="1" applyFont="1" applyFill="1" applyBorder="1" applyAlignment="1">
      <alignment/>
    </xf>
    <xf numFmtId="43" fontId="13" fillId="4" borderId="23" xfId="0" applyNumberFormat="1" applyFont="1" applyFill="1" applyBorder="1" applyAlignment="1">
      <alignment horizontal="center" vertical="center"/>
    </xf>
    <xf numFmtId="43" fontId="13" fillId="4" borderId="24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PageLayoutView="0" workbookViewId="0" topLeftCell="A55">
      <selection activeCell="H47" sqref="H47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13.57421875" style="1" bestFit="1" customWidth="1"/>
    <col min="11" max="16384" width="9.140625" style="1" customWidth="1"/>
  </cols>
  <sheetData>
    <row r="1" spans="1:7" ht="18.75">
      <c r="A1" s="83" t="s">
        <v>0</v>
      </c>
      <c r="B1" s="83"/>
      <c r="C1" s="83"/>
      <c r="D1" s="83"/>
      <c r="E1" s="83"/>
      <c r="F1" s="83"/>
      <c r="G1" s="83"/>
    </row>
    <row r="2" spans="1:7" ht="18.75">
      <c r="A2" s="83" t="s">
        <v>105</v>
      </c>
      <c r="B2" s="83"/>
      <c r="C2" s="83"/>
      <c r="D2" s="83"/>
      <c r="E2" s="83"/>
      <c r="F2" s="83"/>
      <c r="G2" s="83"/>
    </row>
    <row r="3" spans="1:7" ht="18.75">
      <c r="A3" s="83" t="s">
        <v>61</v>
      </c>
      <c r="B3" s="83"/>
      <c r="C3" s="83"/>
      <c r="D3" s="83"/>
      <c r="E3" s="83"/>
      <c r="F3" s="83"/>
      <c r="G3" s="83"/>
    </row>
    <row r="4" spans="1:7" ht="18.75">
      <c r="A4" s="4"/>
      <c r="B4" s="4"/>
      <c r="C4" s="4"/>
      <c r="D4" s="4"/>
      <c r="E4" s="4"/>
      <c r="F4" s="4"/>
      <c r="G4" s="4"/>
    </row>
    <row r="5" spans="1:8" ht="37.5">
      <c r="A5" s="63" t="s">
        <v>54</v>
      </c>
      <c r="B5" s="28" t="s">
        <v>34</v>
      </c>
      <c r="C5" s="18" t="s">
        <v>5</v>
      </c>
      <c r="D5" s="18" t="s">
        <v>4</v>
      </c>
      <c r="E5" s="26" t="s">
        <v>28</v>
      </c>
      <c r="F5" s="27" t="s">
        <v>7</v>
      </c>
      <c r="G5" s="18" t="s">
        <v>35</v>
      </c>
      <c r="H5" s="68" t="s">
        <v>58</v>
      </c>
    </row>
    <row r="6" spans="1:10" ht="15.75">
      <c r="A6" s="70" t="s">
        <v>102</v>
      </c>
      <c r="B6" s="71" t="s">
        <v>103</v>
      </c>
      <c r="C6" s="72">
        <v>21.794</v>
      </c>
      <c r="D6" s="72">
        <v>22.378</v>
      </c>
      <c r="E6" s="38">
        <f aca="true" t="shared" si="0" ref="E6:E18">D6-C6</f>
        <v>0.5839999999999996</v>
      </c>
      <c r="F6" s="77"/>
      <c r="G6" s="73">
        <v>99.7</v>
      </c>
      <c r="H6" s="112">
        <f>E6*F45/G6+E62</f>
        <v>40.357953573027636</v>
      </c>
      <c r="J6" s="76"/>
    </row>
    <row r="7" spans="1:10" ht="15.75">
      <c r="A7" s="70" t="s">
        <v>96</v>
      </c>
      <c r="B7" s="71" t="s">
        <v>97</v>
      </c>
      <c r="C7" s="72">
        <v>0.682</v>
      </c>
      <c r="D7" s="72"/>
      <c r="E7" s="38"/>
      <c r="F7" s="27"/>
      <c r="G7" s="73"/>
      <c r="H7" s="75"/>
      <c r="J7" s="76">
        <v>45.5</v>
      </c>
    </row>
    <row r="8" spans="1:8" ht="15.75">
      <c r="A8" s="70" t="s">
        <v>98</v>
      </c>
      <c r="B8" s="71" t="s">
        <v>99</v>
      </c>
      <c r="C8" s="72">
        <v>0.98</v>
      </c>
      <c r="D8" s="72">
        <v>1.66</v>
      </c>
      <c r="E8" s="38">
        <f t="shared" si="0"/>
        <v>0.6799999999999999</v>
      </c>
      <c r="F8" s="27"/>
      <c r="G8" s="73">
        <v>83.5</v>
      </c>
      <c r="H8" s="75">
        <f>E8*F45/G8+E62</f>
        <v>46.019327452750645</v>
      </c>
    </row>
    <row r="9" spans="1:8" ht="15.75">
      <c r="A9" s="70" t="s">
        <v>62</v>
      </c>
      <c r="B9" s="71" t="s">
        <v>63</v>
      </c>
      <c r="C9" s="72">
        <v>12.029</v>
      </c>
      <c r="D9" s="72">
        <v>12.491</v>
      </c>
      <c r="E9" s="38">
        <f t="shared" si="0"/>
        <v>0.46199999999999974</v>
      </c>
      <c r="F9" s="27"/>
      <c r="G9" s="73">
        <v>45.3</v>
      </c>
      <c r="H9" s="75">
        <f>E9*F45/G9+E62</f>
        <v>51.10821708276214</v>
      </c>
    </row>
    <row r="10" spans="1:8" ht="19.5" customHeight="1">
      <c r="A10" s="35" t="s">
        <v>29</v>
      </c>
      <c r="B10" s="36" t="s">
        <v>30</v>
      </c>
      <c r="C10" s="37">
        <v>14.969</v>
      </c>
      <c r="D10" s="37">
        <v>15.588</v>
      </c>
      <c r="E10" s="38">
        <f t="shared" si="0"/>
        <v>0.6189999999999998</v>
      </c>
      <c r="F10" s="37"/>
      <c r="G10" s="51">
        <v>79.7</v>
      </c>
      <c r="H10" s="75">
        <f>E10*F45/G10+E62</f>
        <v>45.0855111648747</v>
      </c>
    </row>
    <row r="11" spans="1:8" ht="19.5" customHeight="1">
      <c r="A11" s="35" t="s">
        <v>56</v>
      </c>
      <c r="B11" s="36" t="s">
        <v>57</v>
      </c>
      <c r="C11" s="37">
        <v>21.4</v>
      </c>
      <c r="D11" s="37">
        <v>21.8</v>
      </c>
      <c r="E11" s="38">
        <f t="shared" si="0"/>
        <v>0.40000000000000213</v>
      </c>
      <c r="F11" s="37"/>
      <c r="G11" s="51">
        <v>106</v>
      </c>
      <c r="H11" s="112">
        <f>E11*F45/G11+E62</f>
        <v>35.19718699404547</v>
      </c>
    </row>
    <row r="12" spans="1:8" ht="19.5" customHeight="1">
      <c r="A12" s="35" t="s">
        <v>48</v>
      </c>
      <c r="B12" s="36" t="s">
        <v>49</v>
      </c>
      <c r="C12" s="37">
        <v>31.269</v>
      </c>
      <c r="D12" s="37">
        <v>32.332</v>
      </c>
      <c r="E12" s="38">
        <f t="shared" si="0"/>
        <v>1.0630000000000024</v>
      </c>
      <c r="F12" s="37"/>
      <c r="G12" s="51">
        <v>115.8</v>
      </c>
      <c r="H12" s="75">
        <f>E12*F45/G12+E62</f>
        <v>48.5846383268574</v>
      </c>
    </row>
    <row r="13" spans="1:8" ht="19.5" customHeight="1">
      <c r="A13" s="35" t="s">
        <v>64</v>
      </c>
      <c r="B13" s="36" t="s">
        <v>65</v>
      </c>
      <c r="C13" s="37">
        <v>0.43</v>
      </c>
      <c r="D13" s="37">
        <v>0.736</v>
      </c>
      <c r="E13" s="38">
        <f t="shared" si="0"/>
        <v>0.306</v>
      </c>
      <c r="F13" s="37"/>
      <c r="G13" s="51">
        <v>85.5</v>
      </c>
      <c r="H13" s="112">
        <f>E13*F45/G13+E62</f>
        <v>34.71518854320132</v>
      </c>
    </row>
    <row r="14" spans="1:8" ht="19.5" customHeight="1">
      <c r="A14" s="35" t="s">
        <v>33</v>
      </c>
      <c r="B14" s="36" t="s">
        <v>31</v>
      </c>
      <c r="C14" s="37">
        <v>14.698</v>
      </c>
      <c r="D14" s="37">
        <v>15.035</v>
      </c>
      <c r="E14" s="38">
        <f t="shared" si="0"/>
        <v>0.33699999999999974</v>
      </c>
      <c r="F14" s="37"/>
      <c r="G14" s="51">
        <v>80.6</v>
      </c>
      <c r="H14" s="112">
        <f>E14*F45/G14+E62</f>
        <v>36.20645591815234</v>
      </c>
    </row>
    <row r="15" spans="1:8" ht="19.5" customHeight="1">
      <c r="A15" s="35" t="s">
        <v>32</v>
      </c>
      <c r="B15" s="36" t="s">
        <v>44</v>
      </c>
      <c r="C15" s="37">
        <v>21.15</v>
      </c>
      <c r="D15" s="37">
        <v>22.05</v>
      </c>
      <c r="E15" s="38">
        <f t="shared" si="0"/>
        <v>0.9000000000000021</v>
      </c>
      <c r="F15" s="37"/>
      <c r="G15" s="51">
        <v>104</v>
      </c>
      <c r="H15" s="75">
        <f>E15*F45/G15+E62</f>
        <v>47.282617146440245</v>
      </c>
    </row>
    <row r="16" spans="1:8" ht="19.5" customHeight="1">
      <c r="A16" s="35" t="s">
        <v>66</v>
      </c>
      <c r="B16" s="36" t="s">
        <v>67</v>
      </c>
      <c r="C16" s="37">
        <v>34.566</v>
      </c>
      <c r="D16" s="37">
        <v>36.036</v>
      </c>
      <c r="E16" s="38">
        <f t="shared" si="0"/>
        <v>1.4699999999999989</v>
      </c>
      <c r="F16" s="37"/>
      <c r="G16" s="51">
        <v>110</v>
      </c>
      <c r="H16" s="75">
        <f>E16*F45/G16+E62</f>
        <v>58.945894524062545</v>
      </c>
    </row>
    <row r="17" spans="1:8" ht="19.5" customHeight="1">
      <c r="A17" s="35" t="s">
        <v>89</v>
      </c>
      <c r="B17" s="36" t="s">
        <v>90</v>
      </c>
      <c r="C17" s="37">
        <v>0.86</v>
      </c>
      <c r="D17" s="37">
        <v>1.14</v>
      </c>
      <c r="E17" s="38">
        <f t="shared" si="0"/>
        <v>0.2799999999999999</v>
      </c>
      <c r="F17" s="37"/>
      <c r="G17" s="51">
        <v>79.4</v>
      </c>
      <c r="H17" s="112">
        <f>E17*F45/G17+E62</f>
        <v>34.58518053047429</v>
      </c>
    </row>
    <row r="18" spans="1:8" ht="19.5" customHeight="1">
      <c r="A18" s="35" t="s">
        <v>100</v>
      </c>
      <c r="B18" s="36" t="s">
        <v>101</v>
      </c>
      <c r="C18" s="37">
        <v>0.748</v>
      </c>
      <c r="D18" s="37">
        <v>1.243</v>
      </c>
      <c r="E18" s="38">
        <f t="shared" si="0"/>
        <v>0.4950000000000001</v>
      </c>
      <c r="F18" s="37"/>
      <c r="G18" s="51">
        <v>51.8</v>
      </c>
      <c r="H18" s="75">
        <f>E18*F45/G18+E62</f>
        <v>49.51666366411172</v>
      </c>
    </row>
    <row r="19" spans="1:10" ht="19.5" customHeight="1">
      <c r="A19" s="35" t="s">
        <v>70</v>
      </c>
      <c r="B19" s="36" t="s">
        <v>71</v>
      </c>
      <c r="C19" s="37"/>
      <c r="D19" s="37"/>
      <c r="E19" s="38"/>
      <c r="F19" s="37"/>
      <c r="G19" s="51"/>
      <c r="H19" s="69"/>
      <c r="J19" s="76">
        <v>110.8</v>
      </c>
    </row>
    <row r="20" spans="1:10" ht="19.5" customHeight="1">
      <c r="A20" s="35" t="s">
        <v>106</v>
      </c>
      <c r="B20" s="36" t="s">
        <v>107</v>
      </c>
      <c r="C20" s="37">
        <v>2.228</v>
      </c>
      <c r="D20" s="37">
        <v>3.64</v>
      </c>
      <c r="E20" s="38">
        <f>D20-C20</f>
        <v>1.412</v>
      </c>
      <c r="F20" s="37"/>
      <c r="G20" s="110">
        <v>110.4</v>
      </c>
      <c r="H20" s="69">
        <f>E20*F45/G20+E62</f>
        <v>57.524988272415655</v>
      </c>
      <c r="J20" s="76"/>
    </row>
    <row r="21" spans="1:8" ht="19.5" customHeight="1">
      <c r="A21" s="35" t="s">
        <v>74</v>
      </c>
      <c r="B21" s="36" t="s">
        <v>75</v>
      </c>
      <c r="C21" s="37">
        <v>0.611</v>
      </c>
      <c r="D21" s="37">
        <v>0.86</v>
      </c>
      <c r="E21" s="38">
        <f aca="true" t="shared" si="1" ref="E21:E31">D21-C21</f>
        <v>0.249</v>
      </c>
      <c r="F21" s="37"/>
      <c r="G21" s="110">
        <v>78.7</v>
      </c>
      <c r="H21" s="113">
        <f>E21*F45/G21+E62</f>
        <v>33.68740305935193</v>
      </c>
    </row>
    <row r="22" spans="1:8" ht="19.5" customHeight="1">
      <c r="A22" s="35" t="s">
        <v>79</v>
      </c>
      <c r="B22" s="36" t="s">
        <v>80</v>
      </c>
      <c r="C22" s="37">
        <v>0.614</v>
      </c>
      <c r="D22" s="37">
        <v>0.755</v>
      </c>
      <c r="E22" s="38">
        <f t="shared" si="1"/>
        <v>0.14100000000000001</v>
      </c>
      <c r="F22" s="37"/>
      <c r="G22" s="110">
        <v>50.8</v>
      </c>
      <c r="H22" s="113">
        <f>E22*F45/G22+E62</f>
        <v>32.72576375455649</v>
      </c>
    </row>
    <row r="23" spans="1:8" ht="19.5" customHeight="1">
      <c r="A23" s="35" t="s">
        <v>76</v>
      </c>
      <c r="B23" s="36" t="s">
        <v>77</v>
      </c>
      <c r="C23" s="37">
        <v>0.262</v>
      </c>
      <c r="D23" s="37">
        <v>0.41</v>
      </c>
      <c r="E23" s="38">
        <f t="shared" si="1"/>
        <v>0.14799999999999996</v>
      </c>
      <c r="F23" s="37"/>
      <c r="G23" s="110">
        <v>50.8</v>
      </c>
      <c r="H23" s="113">
        <f>E23*F45/G23+E62</f>
        <v>33.06699859707617</v>
      </c>
    </row>
    <row r="24" spans="1:10" ht="19.5" customHeight="1">
      <c r="A24" s="35" t="s">
        <v>52</v>
      </c>
      <c r="B24" s="36" t="s">
        <v>53</v>
      </c>
      <c r="C24" s="37"/>
      <c r="D24" s="37"/>
      <c r="E24" s="38"/>
      <c r="F24" s="37"/>
      <c r="G24" s="110"/>
      <c r="H24" s="69"/>
      <c r="J24" s="76">
        <v>114.4</v>
      </c>
    </row>
    <row r="25" spans="1:10" ht="19.5" customHeight="1">
      <c r="A25" s="35" t="s">
        <v>91</v>
      </c>
      <c r="B25" s="36" t="s">
        <v>92</v>
      </c>
      <c r="C25" s="37">
        <v>0.434</v>
      </c>
      <c r="D25" s="37">
        <v>0.679</v>
      </c>
      <c r="E25" s="38">
        <f t="shared" si="1"/>
        <v>0.24500000000000005</v>
      </c>
      <c r="F25" s="37"/>
      <c r="G25" s="111">
        <v>60.98</v>
      </c>
      <c r="H25" s="113">
        <f>E25*F45/G25+E62</f>
        <v>35.801737731373464</v>
      </c>
      <c r="J25" s="76"/>
    </row>
    <row r="26" spans="1:10" ht="19.5" customHeight="1">
      <c r="A26" s="35" t="s">
        <v>94</v>
      </c>
      <c r="B26" s="36" t="s">
        <v>78</v>
      </c>
      <c r="C26" s="37">
        <v>0.004</v>
      </c>
      <c r="D26" s="37">
        <v>0.034</v>
      </c>
      <c r="E26" s="109">
        <f t="shared" si="1"/>
        <v>0.030000000000000002</v>
      </c>
      <c r="F26" s="37"/>
      <c r="G26" s="110">
        <v>47.3</v>
      </c>
      <c r="H26" s="113">
        <f>E26*F45/G26+E62</f>
        <v>27.422968118142908</v>
      </c>
      <c r="J26" s="76"/>
    </row>
    <row r="27" spans="1:8" ht="19.5" customHeight="1">
      <c r="A27" s="35" t="s">
        <v>87</v>
      </c>
      <c r="B27" s="36" t="s">
        <v>88</v>
      </c>
      <c r="C27" s="37">
        <v>0.89</v>
      </c>
      <c r="D27" s="37">
        <v>1.32</v>
      </c>
      <c r="E27" s="38">
        <f t="shared" si="1"/>
        <v>0.43000000000000005</v>
      </c>
      <c r="F27" s="37"/>
      <c r="G27" s="110">
        <v>48.8</v>
      </c>
      <c r="H27" s="69">
        <f>E27*F45/G27+E62</f>
        <v>47.67296865968105</v>
      </c>
    </row>
    <row r="28" spans="1:8" ht="19.5" customHeight="1">
      <c r="A28" s="35" t="s">
        <v>108</v>
      </c>
      <c r="B28" s="36" t="s">
        <v>109</v>
      </c>
      <c r="C28" s="37">
        <v>0.613</v>
      </c>
      <c r="D28" s="37">
        <v>0.84</v>
      </c>
      <c r="E28" s="38">
        <f t="shared" si="1"/>
        <v>0.22699999999999998</v>
      </c>
      <c r="F28" s="37"/>
      <c r="G28" s="110">
        <v>48.8</v>
      </c>
      <c r="H28" s="113">
        <f>E28*F45/G28+E62</f>
        <v>37.371592225254815</v>
      </c>
    </row>
    <row r="29" spans="1:8" ht="19.5" customHeight="1">
      <c r="A29" s="36" t="s">
        <v>43</v>
      </c>
      <c r="B29" s="36" t="s">
        <v>45</v>
      </c>
      <c r="C29" s="37">
        <v>17.314</v>
      </c>
      <c r="D29" s="37">
        <v>18.064</v>
      </c>
      <c r="E29" s="38">
        <f t="shared" si="1"/>
        <v>0.75</v>
      </c>
      <c r="F29" s="37"/>
      <c r="G29" s="110">
        <v>111.8</v>
      </c>
      <c r="H29" s="69">
        <f>E29*F45/G29+E62</f>
        <v>42.464953237674536</v>
      </c>
    </row>
    <row r="30" spans="1:8" ht="19.5" customHeight="1">
      <c r="A30" s="36" t="s">
        <v>93</v>
      </c>
      <c r="B30" s="62" t="s">
        <v>95</v>
      </c>
      <c r="C30" s="37">
        <v>0.711</v>
      </c>
      <c r="D30" s="37">
        <v>1.26</v>
      </c>
      <c r="E30" s="38">
        <f t="shared" si="1"/>
        <v>0.549</v>
      </c>
      <c r="F30" s="37"/>
      <c r="G30" s="51">
        <v>105.6</v>
      </c>
      <c r="H30" s="113">
        <f>E30*F45/G30+E62</f>
        <v>38.72673298997166</v>
      </c>
    </row>
    <row r="31" spans="1:8" ht="19.5" customHeight="1">
      <c r="A31" s="101" t="s">
        <v>104</v>
      </c>
      <c r="B31" s="62" t="s">
        <v>68</v>
      </c>
      <c r="C31" s="37">
        <v>17.699</v>
      </c>
      <c r="D31" s="37">
        <v>18.476</v>
      </c>
      <c r="E31" s="38">
        <f t="shared" si="1"/>
        <v>0.7769999999999975</v>
      </c>
      <c r="F31" s="37"/>
      <c r="G31" s="103">
        <v>213.8</v>
      </c>
      <c r="H31" s="114">
        <f>(E31+E32)*F45/G31+E62</f>
        <v>39.93693197877808</v>
      </c>
    </row>
    <row r="32" spans="1:8" ht="19.5" customHeight="1">
      <c r="A32" s="102"/>
      <c r="B32" s="62" t="s">
        <v>69</v>
      </c>
      <c r="C32" s="37">
        <v>12.84</v>
      </c>
      <c r="D32" s="37">
        <v>13.279</v>
      </c>
      <c r="E32" s="38">
        <f>D32-C32</f>
        <v>0.43900000000000006</v>
      </c>
      <c r="F32" s="37"/>
      <c r="G32" s="104"/>
      <c r="H32" s="115"/>
    </row>
    <row r="33" spans="1:10" ht="19.5" customHeight="1">
      <c r="A33" s="36" t="s">
        <v>72</v>
      </c>
      <c r="B33" s="62" t="s">
        <v>73</v>
      </c>
      <c r="C33" s="37"/>
      <c r="D33" s="37"/>
      <c r="E33" s="38"/>
      <c r="F33" s="37"/>
      <c r="G33" s="51"/>
      <c r="H33" s="69"/>
      <c r="J33" s="76">
        <v>74.6</v>
      </c>
    </row>
    <row r="34" spans="1:8" ht="19.5" customHeight="1">
      <c r="A34" s="36" t="s">
        <v>59</v>
      </c>
      <c r="B34" s="62" t="s">
        <v>60</v>
      </c>
      <c r="C34" s="37">
        <v>24.725</v>
      </c>
      <c r="D34" s="37">
        <v>25.601</v>
      </c>
      <c r="E34" s="38">
        <f>D34-C34</f>
        <v>0.8759999999999977</v>
      </c>
      <c r="F34" s="37"/>
      <c r="G34" s="51">
        <v>107.2</v>
      </c>
      <c r="H34" s="69">
        <f>E34*F45/G34+E62</f>
        <v>46.08849108444244</v>
      </c>
    </row>
    <row r="35" spans="1:8" ht="19.5" customHeight="1">
      <c r="A35" s="36" t="s">
        <v>51</v>
      </c>
      <c r="B35" s="62" t="s">
        <v>50</v>
      </c>
      <c r="C35" s="65">
        <v>4.883</v>
      </c>
      <c r="D35" s="65">
        <v>4.906</v>
      </c>
      <c r="E35" s="109">
        <f>D35-C35</f>
        <v>0.022999999999999687</v>
      </c>
      <c r="F35" s="37"/>
      <c r="G35" s="51">
        <v>74.4</v>
      </c>
      <c r="H35" s="113">
        <f>E35*F45/G35+E62</f>
        <v>26.617869741560117</v>
      </c>
    </row>
    <row r="36" spans="1:8" ht="19.5" customHeight="1">
      <c r="A36" s="35" t="s">
        <v>84</v>
      </c>
      <c r="B36" s="36" t="s">
        <v>85</v>
      </c>
      <c r="C36" s="74">
        <v>0.497</v>
      </c>
      <c r="D36" s="74">
        <v>0.715</v>
      </c>
      <c r="E36" s="38">
        <f>D36-C36</f>
        <v>0.21799999999999997</v>
      </c>
      <c r="F36" s="37"/>
      <c r="G36" s="51">
        <v>78.8</v>
      </c>
      <c r="H36" s="113">
        <f>E36*F45/G36+E62</f>
        <v>32.70324571926331</v>
      </c>
    </row>
    <row r="37" spans="1:8" ht="19.5" customHeight="1">
      <c r="A37" s="35" t="s">
        <v>81</v>
      </c>
      <c r="B37" s="36" t="s">
        <v>82</v>
      </c>
      <c r="C37" s="74">
        <v>0.731</v>
      </c>
      <c r="D37" s="74">
        <v>1.099</v>
      </c>
      <c r="E37" s="38">
        <f>D37-C37</f>
        <v>0.368</v>
      </c>
      <c r="F37" s="37"/>
      <c r="G37" s="51">
        <v>78.6</v>
      </c>
      <c r="H37" s="113">
        <f>E37*F45/G37+E62</f>
        <v>37.44661321709981</v>
      </c>
    </row>
    <row r="38" spans="1:8" ht="19.5" customHeight="1">
      <c r="A38" s="35" t="s">
        <v>83</v>
      </c>
      <c r="B38" s="62" t="s">
        <v>86</v>
      </c>
      <c r="C38" s="74">
        <v>1.335</v>
      </c>
      <c r="D38" s="74">
        <v>1.969</v>
      </c>
      <c r="E38" s="38">
        <f>D38-C38</f>
        <v>0.6340000000000001</v>
      </c>
      <c r="F38" s="37"/>
      <c r="G38" s="51">
        <v>112.6</v>
      </c>
      <c r="H38" s="113">
        <f>E38*F45/G38+E62</f>
        <v>39.79575832351357</v>
      </c>
    </row>
    <row r="39" spans="1:10" ht="19.5" customHeight="1">
      <c r="A39" s="97"/>
      <c r="B39" s="98"/>
      <c r="C39" s="39"/>
      <c r="D39" s="54" t="s">
        <v>37</v>
      </c>
      <c r="E39" s="58">
        <f>SUM(E6:E38)</f>
        <v>15.111999999999998</v>
      </c>
      <c r="F39" s="53" t="s">
        <v>38</v>
      </c>
      <c r="G39" s="52">
        <f>SUM(G6:G38)</f>
        <v>2420.68</v>
      </c>
      <c r="H39" s="2"/>
      <c r="J39" s="55"/>
    </row>
    <row r="40" spans="1:7" ht="19.5" customHeight="1">
      <c r="A40" s="31"/>
      <c r="B40" s="31"/>
      <c r="C40" s="32"/>
      <c r="D40" s="32"/>
      <c r="E40" s="32"/>
      <c r="F40" s="29"/>
      <c r="G40" s="30"/>
    </row>
    <row r="41" spans="1:7" ht="19.5" customHeight="1" thickBot="1">
      <c r="A41" s="19"/>
      <c r="B41" s="19"/>
      <c r="C41" s="20"/>
      <c r="D41" s="20"/>
      <c r="E41" s="20"/>
      <c r="F41" s="4"/>
      <c r="G41" s="4"/>
    </row>
    <row r="42" spans="1:7" ht="33" customHeight="1" thickBot="1">
      <c r="A42" s="84" t="s">
        <v>27</v>
      </c>
      <c r="B42" s="85"/>
      <c r="C42" s="88" t="s">
        <v>3</v>
      </c>
      <c r="D42" s="89"/>
      <c r="E42" s="90" t="s">
        <v>9</v>
      </c>
      <c r="F42" s="91"/>
      <c r="G42" s="92" t="s">
        <v>8</v>
      </c>
    </row>
    <row r="43" spans="1:8" ht="30" customHeight="1" thickBot="1">
      <c r="A43" s="86"/>
      <c r="B43" s="87"/>
      <c r="C43" s="14" t="s">
        <v>5</v>
      </c>
      <c r="D43" s="5" t="s">
        <v>4</v>
      </c>
      <c r="E43" s="5" t="s">
        <v>6</v>
      </c>
      <c r="F43" s="6" t="s">
        <v>7</v>
      </c>
      <c r="G43" s="93"/>
      <c r="H43" s="13"/>
    </row>
    <row r="44" spans="1:9" ht="68.25" customHeight="1" thickBot="1">
      <c r="A44" s="99" t="s">
        <v>13</v>
      </c>
      <c r="B44" s="100"/>
      <c r="C44" s="40">
        <v>106910.44</v>
      </c>
      <c r="D44" s="40">
        <v>107594.91</v>
      </c>
      <c r="E44" s="41">
        <f>D44-C44</f>
        <v>684.4700000000012</v>
      </c>
      <c r="F44" s="42">
        <f>E44+0.37+3.61</f>
        <v>688.4500000000012</v>
      </c>
      <c r="G44" s="43" t="s">
        <v>110</v>
      </c>
      <c r="I44" s="17"/>
    </row>
    <row r="45" spans="1:6" ht="19.5" customHeight="1">
      <c r="A45" s="3" t="s">
        <v>14</v>
      </c>
      <c r="B45" s="3"/>
      <c r="C45" s="3"/>
      <c r="D45" s="3"/>
      <c r="E45" s="3"/>
      <c r="F45" s="44">
        <v>2476.39</v>
      </c>
    </row>
    <row r="46" spans="1:6" ht="19.5" customHeight="1">
      <c r="A46" s="3" t="s">
        <v>15</v>
      </c>
      <c r="B46" s="3"/>
      <c r="C46" s="3"/>
      <c r="D46" s="3"/>
      <c r="E46" s="3"/>
      <c r="F46" s="44">
        <v>4.29</v>
      </c>
    </row>
    <row r="47" spans="1:13" ht="18.75" customHeight="1">
      <c r="A47" s="3" t="s">
        <v>20</v>
      </c>
      <c r="B47" s="3"/>
      <c r="C47" s="3"/>
      <c r="D47" s="3"/>
      <c r="E47" s="3"/>
      <c r="F47" s="45">
        <v>0.051</v>
      </c>
      <c r="K47" s="15"/>
      <c r="M47" s="15"/>
    </row>
    <row r="48" spans="1:6" ht="18.75" customHeight="1">
      <c r="A48" s="3" t="s">
        <v>21</v>
      </c>
      <c r="B48" s="3"/>
      <c r="C48" s="3"/>
      <c r="D48" s="3"/>
      <c r="E48" s="3"/>
      <c r="F48" s="45">
        <f>1957+39</f>
        <v>1996</v>
      </c>
    </row>
    <row r="49" spans="1:10" ht="30.75" customHeight="1">
      <c r="A49" s="95" t="s">
        <v>22</v>
      </c>
      <c r="B49" s="95"/>
      <c r="C49" s="95"/>
      <c r="D49" s="95"/>
      <c r="E49" s="95"/>
      <c r="F49" s="44">
        <f>(F48*F47)</f>
        <v>101.79599999999999</v>
      </c>
      <c r="H49" s="67"/>
      <c r="I49" s="15"/>
      <c r="J49" s="17"/>
    </row>
    <row r="50" spans="1:8" ht="22.5" customHeight="1">
      <c r="A50" s="95" t="s">
        <v>11</v>
      </c>
      <c r="B50" s="95"/>
      <c r="C50" s="95"/>
      <c r="D50" s="95"/>
      <c r="E50" s="95"/>
      <c r="F50" s="46">
        <v>0</v>
      </c>
      <c r="H50" s="7"/>
    </row>
    <row r="51" spans="1:8" ht="48" customHeight="1">
      <c r="A51" s="108" t="s">
        <v>36</v>
      </c>
      <c r="B51" s="108"/>
      <c r="C51" s="108"/>
      <c r="D51" s="108"/>
      <c r="E51" s="108"/>
      <c r="F51" s="57">
        <f>E39/G39</f>
        <v>0.006242873903200753</v>
      </c>
      <c r="G51" s="49"/>
      <c r="H51" s="67"/>
    </row>
    <row r="52" spans="1:10" ht="51" customHeight="1">
      <c r="A52" s="108" t="s">
        <v>39</v>
      </c>
      <c r="B52" s="108"/>
      <c r="C52" s="108"/>
      <c r="D52" s="108"/>
      <c r="E52" s="108"/>
      <c r="F52" s="64">
        <f>F51*(B62-G39)</f>
        <v>221.75387306046235</v>
      </c>
      <c r="G52" s="49"/>
      <c r="H52" s="7"/>
      <c r="I52" s="17"/>
      <c r="J52" s="56"/>
    </row>
    <row r="53" spans="1:10" ht="32.25" customHeight="1">
      <c r="A53" s="95" t="s">
        <v>46</v>
      </c>
      <c r="B53" s="95"/>
      <c r="C53" s="95"/>
      <c r="D53" s="95"/>
      <c r="E53" s="95"/>
      <c r="F53" s="47">
        <f>F44-F49-E39-F52</f>
        <v>349.7881269395388</v>
      </c>
      <c r="G53" s="34"/>
      <c r="H53" s="50"/>
      <c r="J53" s="21"/>
    </row>
    <row r="54" spans="1:11" ht="32.25" customHeight="1">
      <c r="A54" s="95" t="s">
        <v>17</v>
      </c>
      <c r="B54" s="95"/>
      <c r="C54" s="95"/>
      <c r="D54" s="95"/>
      <c r="E54" s="95"/>
      <c r="F54" s="59">
        <v>26730</v>
      </c>
      <c r="K54" s="17"/>
    </row>
    <row r="55" spans="1:6" ht="32.25" customHeight="1">
      <c r="A55" s="95" t="s">
        <v>18</v>
      </c>
      <c r="B55" s="95"/>
      <c r="C55" s="95"/>
      <c r="D55" s="95"/>
      <c r="E55" s="95"/>
      <c r="F55" s="44">
        <f>F54/F45*F50</f>
        <v>0</v>
      </c>
    </row>
    <row r="56" spans="1:6" ht="32.25" customHeight="1">
      <c r="A56" s="95" t="s">
        <v>40</v>
      </c>
      <c r="B56" s="95"/>
      <c r="C56" s="95"/>
      <c r="D56" s="95"/>
      <c r="E56" s="95"/>
      <c r="F56" s="48">
        <f>F44/(F53+F49+E39+F52)</f>
        <v>1</v>
      </c>
    </row>
    <row r="57" spans="1:7" ht="17.25" customHeight="1">
      <c r="A57" s="94" t="s">
        <v>10</v>
      </c>
      <c r="B57" s="94"/>
      <c r="C57" s="94"/>
      <c r="D57" s="94"/>
      <c r="E57" s="94"/>
      <c r="F57" s="94"/>
      <c r="G57" s="94"/>
    </row>
    <row r="58" spans="1:6" ht="32.25" customHeight="1">
      <c r="A58" s="95" t="s">
        <v>23</v>
      </c>
      <c r="B58" s="96"/>
      <c r="C58" s="96"/>
      <c r="D58" s="96"/>
      <c r="E58" s="96"/>
      <c r="F58" s="66">
        <f>F47*F56</f>
        <v>0.051</v>
      </c>
    </row>
    <row r="59" spans="1:6" ht="32.25" customHeight="1">
      <c r="A59" s="95" t="s">
        <v>26</v>
      </c>
      <c r="B59" s="95"/>
      <c r="C59" s="95"/>
      <c r="D59" s="95"/>
      <c r="E59" s="95"/>
      <c r="F59" s="44">
        <f>3.23*F56*F45*F47</f>
        <v>407.9357246999999</v>
      </c>
    </row>
    <row r="60" ht="27.75" customHeight="1">
      <c r="A60" s="10" t="s">
        <v>41</v>
      </c>
    </row>
    <row r="61" spans="1:8" ht="48" customHeight="1">
      <c r="A61" s="8" t="s">
        <v>12</v>
      </c>
      <c r="B61" s="8" t="s">
        <v>16</v>
      </c>
      <c r="C61" s="16" t="s">
        <v>19</v>
      </c>
      <c r="D61" s="9" t="s">
        <v>2</v>
      </c>
      <c r="E61" s="105" t="s">
        <v>42</v>
      </c>
      <c r="F61" s="106"/>
      <c r="G61" s="22"/>
      <c r="H61" s="23"/>
    </row>
    <row r="62" spans="1:8" ht="17.25" customHeight="1">
      <c r="A62" s="2" t="s">
        <v>1</v>
      </c>
      <c r="B62" s="11">
        <f>37959-14.5-2.7</f>
        <v>37941.8</v>
      </c>
      <c r="C62" s="12">
        <f>F53</f>
        <v>349.7881269395388</v>
      </c>
      <c r="D62" s="33">
        <f>F54</f>
        <v>26730</v>
      </c>
      <c r="E62" s="107">
        <f>C62/B62*F45+D62/B62*F46</f>
        <v>25.852319069517115</v>
      </c>
      <c r="F62" s="107"/>
      <c r="G62" s="24"/>
      <c r="H62" s="25"/>
    </row>
    <row r="63" spans="1:6" ht="18.75">
      <c r="A63" s="2" t="s">
        <v>55</v>
      </c>
      <c r="B63" s="60"/>
      <c r="C63" s="61">
        <f>F51</f>
        <v>0.006242873903200753</v>
      </c>
      <c r="D63" s="2"/>
      <c r="E63" s="81">
        <f>C63*F45</f>
        <v>15.459790505147312</v>
      </c>
      <c r="F63" s="82"/>
    </row>
    <row r="64" spans="1:6" ht="18.75">
      <c r="A64" s="78" t="s">
        <v>47</v>
      </c>
      <c r="B64" s="78"/>
      <c r="C64" s="78"/>
      <c r="D64" s="78"/>
      <c r="E64" s="79">
        <f>SUM(E62:F63)</f>
        <v>41.312109574664426</v>
      </c>
      <c r="F64" s="80"/>
    </row>
    <row r="65" spans="1:3" ht="24" customHeight="1">
      <c r="A65" s="3" t="s">
        <v>24</v>
      </c>
      <c r="B65" s="3"/>
      <c r="C65" s="3" t="s">
        <v>25</v>
      </c>
    </row>
  </sheetData>
  <sheetProtection/>
  <mergeCells count="28">
    <mergeCell ref="A31:A32"/>
    <mergeCell ref="G31:G32"/>
    <mergeCell ref="H31:H32"/>
    <mergeCell ref="A59:E59"/>
    <mergeCell ref="E61:F61"/>
    <mergeCell ref="E62:F62"/>
    <mergeCell ref="A55:E55"/>
    <mergeCell ref="A51:E51"/>
    <mergeCell ref="A52:E52"/>
    <mergeCell ref="A56:E56"/>
    <mergeCell ref="A57:G57"/>
    <mergeCell ref="A58:E58"/>
    <mergeCell ref="A39:B39"/>
    <mergeCell ref="A44:B44"/>
    <mergeCell ref="A49:E49"/>
    <mergeCell ref="A50:E50"/>
    <mergeCell ref="A53:E53"/>
    <mergeCell ref="A54:E54"/>
    <mergeCell ref="A64:D64"/>
    <mergeCell ref="E64:F64"/>
    <mergeCell ref="E63:F63"/>
    <mergeCell ref="A1:G1"/>
    <mergeCell ref="A2:G2"/>
    <mergeCell ref="A3:G3"/>
    <mergeCell ref="A42:B43"/>
    <mergeCell ref="C42:D42"/>
    <mergeCell ref="E42:F42"/>
    <mergeCell ref="G42:G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2022-03-24T06:25:07Z</cp:lastPrinted>
  <dcterms:created xsi:type="dcterms:W3CDTF">1996-10-08T23:32:33Z</dcterms:created>
  <dcterms:modified xsi:type="dcterms:W3CDTF">2022-04-25T12:39:25Z</dcterms:modified>
  <cp:category/>
  <cp:version/>
  <cp:contentType/>
  <cp:contentStatus/>
</cp:coreProperties>
</file>